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\Dropbox\Auckland reality check\"/>
    </mc:Choice>
  </mc:AlternateContent>
  <xr:revisionPtr revIDLastSave="0" documentId="13_ncr:1_{9075C70C-012B-4F13-8911-F260615416C6}" xr6:coauthVersionLast="36" xr6:coauthVersionMax="47" xr10:uidLastSave="{00000000-0000-0000-0000-000000000000}"/>
  <bookViews>
    <workbookView xWindow="9823" yWindow="497" windowWidth="2520" windowHeight="9163" xr2:uid="{01CD42DF-AE86-1949-A8C8-393C94ED6D4E}"/>
  </bookViews>
  <sheets>
    <sheet name="Main minimal" sheetId="2" r:id="rId1"/>
    <sheet name="Extension minimal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J24" i="3"/>
  <c r="K24" i="3"/>
  <c r="F16" i="3"/>
  <c r="K14" i="3"/>
  <c r="K25" i="3"/>
  <c r="K18" i="2"/>
  <c r="K17" i="2"/>
  <c r="K15" i="2"/>
  <c r="K3" i="2"/>
  <c r="C25" i="3"/>
  <c r="K28" i="3"/>
  <c r="K27" i="3"/>
  <c r="K26" i="3"/>
  <c r="K16" i="2"/>
  <c r="F8" i="2"/>
  <c r="F15" i="2"/>
  <c r="C14" i="2"/>
  <c r="L13" i="2" l="1"/>
  <c r="G25" i="3" l="1"/>
  <c r="F25" i="3"/>
  <c r="F17" i="3"/>
  <c r="F18" i="3"/>
  <c r="F19" i="3"/>
  <c r="F20" i="3"/>
  <c r="F21" i="3"/>
  <c r="F22" i="3"/>
  <c r="F23" i="3"/>
  <c r="H25" i="3" s="1"/>
  <c r="F24" i="3"/>
  <c r="J17" i="3"/>
  <c r="J15" i="3" s="1"/>
  <c r="J14" i="3" s="1"/>
  <c r="J13" i="3" s="1"/>
  <c r="J12" i="3" s="1"/>
  <c r="J11" i="3" s="1"/>
  <c r="J10" i="3" s="1"/>
  <c r="J9" i="3" s="1"/>
  <c r="J8" i="3" s="1"/>
  <c r="J7" i="3" s="1"/>
  <c r="J6" i="3" s="1"/>
  <c r="J5" i="3" s="1"/>
  <c r="J4" i="3" s="1"/>
  <c r="J3" i="3" s="1"/>
  <c r="J2" i="3" s="1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K4" i="3"/>
  <c r="K5" i="3"/>
  <c r="K6" i="3"/>
  <c r="K7" i="3"/>
  <c r="K8" i="3"/>
  <c r="K9" i="3"/>
  <c r="K10" i="3"/>
  <c r="K11" i="3"/>
  <c r="K12" i="3"/>
  <c r="K13" i="3"/>
  <c r="K15" i="3"/>
  <c r="K16" i="3"/>
  <c r="K17" i="3"/>
  <c r="K18" i="3"/>
  <c r="K19" i="3"/>
  <c r="K20" i="3"/>
  <c r="K21" i="3"/>
  <c r="K22" i="3"/>
  <c r="K23" i="3"/>
  <c r="E13" i="3"/>
  <c r="E12" i="3" s="1"/>
  <c r="E11" i="3" s="1"/>
  <c r="E10" i="3" s="1"/>
  <c r="E9" i="3" s="1"/>
  <c r="E8" i="3" s="1"/>
  <c r="E7" i="3" s="1"/>
  <c r="E14" i="3"/>
  <c r="E17" i="3"/>
  <c r="E18" i="3" s="1"/>
  <c r="E19" i="3" s="1"/>
  <c r="E20" i="3" s="1"/>
  <c r="E21" i="3" s="1"/>
  <c r="E22" i="3" s="1"/>
  <c r="E23" i="3" s="1"/>
  <c r="E24" i="3" s="1"/>
  <c r="E16" i="3"/>
  <c r="B24" i="3"/>
  <c r="B23" i="3"/>
  <c r="B22" i="3"/>
  <c r="B21" i="3"/>
  <c r="B20" i="3"/>
  <c r="B19" i="3"/>
  <c r="B18" i="3"/>
  <c r="B17" i="3"/>
  <c r="B16" i="3"/>
  <c r="B15" i="3"/>
  <c r="E15" i="3" s="1"/>
  <c r="B14" i="3"/>
  <c r="B13" i="3"/>
  <c r="B12" i="3"/>
  <c r="B11" i="3"/>
  <c r="B10" i="3"/>
  <c r="B9" i="3"/>
  <c r="B8" i="3"/>
  <c r="B7" i="3"/>
  <c r="B6" i="3"/>
  <c r="B5" i="3"/>
  <c r="B4" i="3"/>
  <c r="B3" i="3"/>
  <c r="B2" i="3"/>
  <c r="K3" i="3"/>
  <c r="E5" i="2"/>
  <c r="E4" i="2" s="1"/>
  <c r="E3" i="2" s="1"/>
  <c r="E2" i="2" s="1"/>
  <c r="E6" i="2"/>
  <c r="K4" i="2"/>
  <c r="K5" i="2"/>
  <c r="K6" i="2"/>
  <c r="K7" i="2"/>
  <c r="K8" i="2"/>
  <c r="K9" i="2"/>
  <c r="K10" i="2"/>
  <c r="K11" i="2"/>
  <c r="K12" i="2"/>
  <c r="K13" i="2"/>
  <c r="G14" i="2"/>
  <c r="G15" i="2" s="1"/>
  <c r="E7" i="2"/>
  <c r="J18" i="3" l="1"/>
  <c r="J19" i="3" s="1"/>
  <c r="J20" i="3" s="1"/>
  <c r="J21" i="3" s="1"/>
  <c r="J22" i="3" s="1"/>
  <c r="J23" i="3" s="1"/>
  <c r="L8" i="3"/>
  <c r="E8" i="2"/>
  <c r="L8" i="2" s="1"/>
  <c r="E9" i="2"/>
  <c r="F9" i="2" l="1"/>
  <c r="L9" i="2"/>
  <c r="E10" i="2"/>
  <c r="F10" i="2" l="1"/>
  <c r="L10" i="2"/>
  <c r="E11" i="2"/>
  <c r="F11" i="2" l="1"/>
  <c r="L11" i="2"/>
  <c r="E12" i="2"/>
  <c r="F12" i="2" l="1"/>
  <c r="L12" i="2"/>
  <c r="E13" i="2"/>
  <c r="F13" i="2" l="1"/>
  <c r="F14" i="2" s="1"/>
  <c r="H15" i="2" s="1"/>
</calcChain>
</file>

<file path=xl/sharedStrings.xml><?xml version="1.0" encoding="utf-8"?>
<sst xmlns="http://schemas.openxmlformats.org/spreadsheetml/2006/main" count="44" uniqueCount="22">
  <si>
    <t>Total</t>
  </si>
  <si>
    <t>Non-upzoned</t>
  </si>
  <si>
    <t>Upzoned</t>
  </si>
  <si>
    <t>Counterfactual</t>
  </si>
  <si>
    <t>Spillover-robust treatment effect</t>
  </si>
  <si>
    <t>Difference</t>
  </si>
  <si>
    <t>Control gradient</t>
  </si>
  <si>
    <t>Point estimate</t>
  </si>
  <si>
    <t>Calculation cells</t>
  </si>
  <si>
    <t>Year</t>
  </si>
  <si>
    <t>GMP spillover-robust treatment effects</t>
  </si>
  <si>
    <t>GMP effect</t>
  </si>
  <si>
    <t>Required data points = 9 data points</t>
  </si>
  <si>
    <t>Sample data growth</t>
  </si>
  <si>
    <t>Counterfactual growth</t>
  </si>
  <si>
    <t>Required data points = 12 data points</t>
  </si>
  <si>
    <t>Main counterfactual</t>
  </si>
  <si>
    <t>Helm &amp; Murray effect</t>
  </si>
  <si>
    <t>Counterfactual growth - CAGR</t>
  </si>
  <si>
    <t>Pre-treat growth - CAGR</t>
  </si>
  <si>
    <t>Pre-treat growth - average</t>
  </si>
  <si>
    <t>Counterfactual growth -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</si>
</sst>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5" fontId="0" fillId="0" borderId="0" xfId="0" applyNumberFormat="1"/>
    <xf numFmtId="165" fontId="0" fillId="0" borderId="0" xfId="1" applyNumberFormat="1" applyFont="1"/>
    <xf numFmtId="165" fontId="2" fillId="0" borderId="0" xfId="1" applyNumberFormat="1" applyFont="1" applyFill="1"/>
    <xf numFmtId="165" fontId="2" fillId="0" borderId="0" xfId="1" applyNumberFormat="1" applyFont="1"/>
    <xf numFmtId="165" fontId="0" fillId="2" borderId="0" xfId="1" applyNumberFormat="1" applyFont="1" applyFill="1"/>
    <xf numFmtId="0" fontId="2" fillId="0" borderId="0" xfId="0" applyFont="1" applyAlignment="1">
      <alignment horizontal="right"/>
    </xf>
    <xf numFmtId="165" fontId="2" fillId="2" borderId="0" xfId="0" applyNumberFormat="1" applyFont="1" applyFill="1"/>
    <xf numFmtId="164" fontId="2" fillId="0" borderId="0" xfId="1" applyFont="1"/>
    <xf numFmtId="10" fontId="2" fillId="0" borderId="0" xfId="2" applyNumberFormat="1" applyFont="1"/>
    <xf numFmtId="165" fontId="0" fillId="3" borderId="0" xfId="1" applyNumberFormat="1" applyFont="1" applyFill="1"/>
    <xf numFmtId="165" fontId="2" fillId="3" borderId="0" xfId="1" applyNumberFormat="1" applyFont="1" applyFill="1"/>
    <xf numFmtId="165" fontId="2" fillId="3" borderId="0" xfId="0" applyNumberFormat="1" applyFont="1" applyFill="1"/>
    <xf numFmtId="165" fontId="0" fillId="3" borderId="0" xfId="0" applyNumberFormat="1" applyFill="1"/>
    <xf numFmtId="0" fontId="0" fillId="3" borderId="0" xfId="0" applyFill="1"/>
    <xf numFmtId="0" fontId="0" fillId="2" borderId="0" xfId="0" applyFill="1"/>
    <xf numFmtId="0" fontId="0" fillId="4" borderId="0" xfId="0" applyFill="1"/>
    <xf numFmtId="164" fontId="0" fillId="2" borderId="0" xfId="1" applyFont="1" applyFill="1"/>
    <xf numFmtId="164" fontId="3" fillId="5" borderId="0" xfId="1" applyFont="1" applyFill="1"/>
    <xf numFmtId="0" fontId="0" fillId="5" borderId="0" xfId="0" applyFill="1"/>
    <xf numFmtId="0" fontId="2" fillId="0" borderId="1" xfId="0" applyFont="1" applyBorder="1"/>
    <xf numFmtId="164" fontId="2" fillId="5" borderId="0" xfId="0" applyNumberFormat="1" applyFont="1" applyFill="1"/>
    <xf numFmtId="166" fontId="0" fillId="0" borderId="0" xfId="2" applyNumberFormat="1" applyFont="1"/>
    <xf numFmtId="0" fontId="0" fillId="0" borderId="1" xfId="0" applyBorder="1"/>
    <xf numFmtId="165" fontId="2" fillId="4" borderId="3" xfId="0" applyNumberFormat="1" applyFont="1" applyFill="1" applyBorder="1"/>
    <xf numFmtId="165" fontId="2" fillId="0" borderId="0" xfId="0" applyNumberFormat="1" applyFont="1"/>
    <xf numFmtId="166" fontId="2" fillId="0" borderId="0" xfId="0" applyNumberFormat="1" applyFont="1"/>
    <xf numFmtId="165" fontId="2" fillId="4" borderId="2" xfId="1" applyNumberFormat="1" applyFont="1" applyFill="1" applyBorder="1"/>
    <xf numFmtId="164" fontId="3" fillId="0" borderId="0" xfId="1" applyFont="1" applyFill="1"/>
    <xf numFmtId="166" fontId="2" fillId="0" borderId="0" xfId="2" applyNumberFormat="1" applyFont="1"/>
    <xf numFmtId="165" fontId="2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4" fontId="0" fillId="5" borderId="0" xfId="0" applyNumberFormat="1" applyFont="1" applyFill="1"/>
    <xf numFmtId="164" fontId="1" fillId="5" borderId="0" xfId="1" applyNumberFormat="1" applyFont="1" applyFill="1" applyBorder="1"/>
    <xf numFmtId="164" fontId="0" fillId="2" borderId="0" xfId="1" applyNumberFormat="1" applyFont="1" applyFill="1"/>
    <xf numFmtId="165" fontId="2" fillId="5" borderId="2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'Main minimal'!$J$15:$J$16</c:f>
              <c:strCache>
                <c:ptCount val="2"/>
                <c:pt idx="0">
                  <c:v>Pre-treat growth - average</c:v>
                </c:pt>
                <c:pt idx="1">
                  <c:v>Counterfactual growth - average</c:v>
                </c:pt>
              </c:strCache>
            </c:strRef>
          </c:cat>
          <c:val>
            <c:numRef>
              <c:f>'Main minimal'!$K$15:$K$16</c:f>
              <c:numCache>
                <c:formatCode>0.0%</c:formatCode>
                <c:ptCount val="2"/>
                <c:pt idx="0">
                  <c:v>0.12626355582020635</c:v>
                </c:pt>
                <c:pt idx="1">
                  <c:v>5.6597351522986283E-2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7-5648-86CD-503EDBBD8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7121824"/>
        <c:axId val="1929769232"/>
      </c:barChart>
      <c:catAx>
        <c:axId val="192712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9769232"/>
        <c:crosses val="autoZero"/>
        <c:auto val="1"/>
        <c:lblAlgn val="ctr"/>
        <c:lblOffset val="100"/>
        <c:noMultiLvlLbl val="0"/>
      </c:catAx>
      <c:valAx>
        <c:axId val="192976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12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Total consents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'Main minimal'!$A$2:$A$13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'Main minimal'!$B$2:$B$13</c:f>
              <c:numCache>
                <c:formatCode>_(* #,##0_);_(* \(#,##0\);_(* "-"??_);_(@_)</c:formatCode>
                <c:ptCount val="12"/>
                <c:pt idx="0">
                  <c:v>3203.28542094455</c:v>
                </c:pt>
                <c:pt idx="1">
                  <c:v>3018.4804928131298</c:v>
                </c:pt>
                <c:pt idx="2">
                  <c:v>3572.8952772073799</c:v>
                </c:pt>
                <c:pt idx="3">
                  <c:v>4527.7207392196997</c:v>
                </c:pt>
                <c:pt idx="4">
                  <c:v>5174.5379876796596</c:v>
                </c:pt>
                <c:pt idx="5">
                  <c:v>5667.3511293634401</c:v>
                </c:pt>
                <c:pt idx="6">
                  <c:v>4774.1273100615999</c:v>
                </c:pt>
                <c:pt idx="7">
                  <c:v>7484.5995893223608</c:v>
                </c:pt>
                <c:pt idx="8">
                  <c:v>10010.26694045174</c:v>
                </c:pt>
                <c:pt idx="9">
                  <c:v>11550.30800821348</c:v>
                </c:pt>
                <c:pt idx="10">
                  <c:v>13305.954825461969</c:v>
                </c:pt>
                <c:pt idx="11">
                  <c:v>16509.240246406509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8-6540-A4DB-767D55018E8C}"/>
            </c:ext>
          </c:extLst>
        </c:ser>
        <c:ser>
          <c:idx val="2"/>
          <c:order val="1"/>
          <c:tx>
            <c:v>Non-upzoned</c:v>
          </c:tx>
          <c:spPr>
            <a:ln w="127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'Main minimal'!$A$2:$A$13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'Main minimal'!$C$2:$C$13</c:f>
              <c:numCache>
                <c:formatCode>_(* #,##0_);_(* \(#,##0\);_(* "-"??_);_(@_)</c:formatCode>
                <c:ptCount val="12"/>
                <c:pt idx="0">
                  <c:v>1139.63039014373</c:v>
                </c:pt>
                <c:pt idx="1">
                  <c:v>1139.63039014373</c:v>
                </c:pt>
                <c:pt idx="2">
                  <c:v>1324.4353182751499</c:v>
                </c:pt>
                <c:pt idx="3">
                  <c:v>1601.64271047227</c:v>
                </c:pt>
                <c:pt idx="4">
                  <c:v>1817.24845995893</c:v>
                </c:pt>
                <c:pt idx="5">
                  <c:v>2063.65503080082</c:v>
                </c:pt>
                <c:pt idx="6">
                  <c:v>1755.6468172484599</c:v>
                </c:pt>
                <c:pt idx="7">
                  <c:v>1909.6509240246301</c:v>
                </c:pt>
                <c:pt idx="8">
                  <c:v>1478.4394250513301</c:v>
                </c:pt>
                <c:pt idx="9">
                  <c:v>1262.8336755646801</c:v>
                </c:pt>
                <c:pt idx="10">
                  <c:v>1509.2402464065699</c:v>
                </c:pt>
                <c:pt idx="11">
                  <c:v>1971.2525667351099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58-6540-A4DB-767D55018E8C}"/>
            </c:ext>
          </c:extLst>
        </c:ser>
        <c:ser>
          <c:idx val="3"/>
          <c:order val="2"/>
          <c:tx>
            <c:v>Upzoned</c:v>
          </c:tx>
          <c:spPr>
            <a:ln w="1270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'Main minimal'!$A$2:$A$13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'Main minimal'!$D$2:$D$13</c:f>
              <c:numCache>
                <c:formatCode>_(* #,##0_);_(* \(#,##0\);_(* "-"??_);_(@_)</c:formatCode>
                <c:ptCount val="12"/>
                <c:pt idx="0">
                  <c:v>2063.65503080082</c:v>
                </c:pt>
                <c:pt idx="1">
                  <c:v>1878.8501026694</c:v>
                </c:pt>
                <c:pt idx="2">
                  <c:v>2248.4599589322302</c:v>
                </c:pt>
                <c:pt idx="3">
                  <c:v>2926.0780287474299</c:v>
                </c:pt>
                <c:pt idx="4">
                  <c:v>3357.2895277207299</c:v>
                </c:pt>
                <c:pt idx="5">
                  <c:v>3603.6960985626201</c:v>
                </c:pt>
                <c:pt idx="6">
                  <c:v>3018.4804928131398</c:v>
                </c:pt>
                <c:pt idx="7">
                  <c:v>5574.9486652977303</c:v>
                </c:pt>
                <c:pt idx="8">
                  <c:v>8531.8275154004095</c:v>
                </c:pt>
                <c:pt idx="9">
                  <c:v>10287.474332648801</c:v>
                </c:pt>
                <c:pt idx="10">
                  <c:v>11796.7145790554</c:v>
                </c:pt>
                <c:pt idx="11">
                  <c:v>14537.9876796714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58-6540-A4DB-767D55018E8C}"/>
            </c:ext>
          </c:extLst>
        </c:ser>
        <c:ser>
          <c:idx val="4"/>
          <c:order val="3"/>
          <c:tx>
            <c:v>Counterfactual</c:v>
          </c:tx>
          <c:spPr>
            <a:ln w="28575" cap="rnd">
              <a:solidFill>
                <a:srgbClr val="FF40FF"/>
              </a:solidFill>
              <a:round/>
            </a:ln>
            <a:effectLst/>
          </c:spPr>
          <c:marker>
            <c:symbol val="none"/>
          </c:marker>
          <c:cat>
            <c:numRef>
              <c:f>'Main minimal'!$A$2:$A$13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'Main minimal'!$E$2:$E$13</c:f>
              <c:numCache>
                <c:formatCode>_(* #,##0_);_(* \(#,##0\);_(* "-"??_);_(@_)</c:formatCode>
                <c:ptCount val="12"/>
                <c:pt idx="0">
                  <c:v>3819.301848049261</c:v>
                </c:pt>
                <c:pt idx="1">
                  <c:v>4188.9117043120968</c:v>
                </c:pt>
                <c:pt idx="2">
                  <c:v>4558.5215605749327</c:v>
                </c:pt>
                <c:pt idx="3">
                  <c:v>4928.1314168377685</c:v>
                </c:pt>
                <c:pt idx="4">
                  <c:v>5297.7412731006043</c:v>
                </c:pt>
                <c:pt idx="5">
                  <c:v>5667.3511293634401</c:v>
                </c:pt>
                <c:pt idx="6">
                  <c:v>6036.9609856262759</c:v>
                </c:pt>
                <c:pt idx="7">
                  <c:v>6406.5708418891118</c:v>
                </c:pt>
                <c:pt idx="8">
                  <c:v>6776.1806981519476</c:v>
                </c:pt>
                <c:pt idx="9">
                  <c:v>7145.7905544147834</c:v>
                </c:pt>
                <c:pt idx="10">
                  <c:v>7515.4004106776192</c:v>
                </c:pt>
                <c:pt idx="11">
                  <c:v>7885.010266940455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58-6540-A4DB-767D55018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0421744"/>
        <c:axId val="1912261856"/>
      </c:lineChart>
      <c:catAx>
        <c:axId val="193042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261856"/>
        <c:crosses val="autoZero"/>
        <c:auto val="1"/>
        <c:lblAlgn val="ctr"/>
        <c:lblOffset val="100"/>
        <c:noMultiLvlLbl val="0"/>
      </c:catAx>
      <c:valAx>
        <c:axId val="191226185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42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'Main minimal'!$J$15:$J$16</c:f>
              <c:strCache>
                <c:ptCount val="2"/>
                <c:pt idx="0">
                  <c:v>Pre-treat growth - average</c:v>
                </c:pt>
                <c:pt idx="1">
                  <c:v>Counterfactual growth - average</c:v>
                </c:pt>
              </c:strCache>
            </c:strRef>
          </c:cat>
          <c:val>
            <c:numRef>
              <c:f>'Extension minimal'!$K$25:$K$26</c:f>
              <c:numCache>
                <c:formatCode>0.0%</c:formatCode>
                <c:ptCount val="2"/>
                <c:pt idx="0">
                  <c:v>0.16427702609885642</c:v>
                </c:pt>
                <c:pt idx="1">
                  <c:v>8.2632027841132397E-2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0-B849-B4F3-B6D33ACB4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7121824"/>
        <c:axId val="1929769232"/>
      </c:barChart>
      <c:catAx>
        <c:axId val="192712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9769232"/>
        <c:crosses val="autoZero"/>
        <c:auto val="1"/>
        <c:lblAlgn val="ctr"/>
        <c:lblOffset val="100"/>
        <c:noMultiLvlLbl val="0"/>
      </c:catAx>
      <c:valAx>
        <c:axId val="192976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12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3123332119683"/>
          <c:y val="2.6113827073292718E-2"/>
          <c:w val="0.86730934586486996"/>
          <c:h val="0.74423693541887648"/>
        </c:manualLayout>
      </c:layout>
      <c:lineChart>
        <c:grouping val="standard"/>
        <c:varyColors val="0"/>
        <c:ser>
          <c:idx val="1"/>
          <c:order val="0"/>
          <c:tx>
            <c:v>Total consents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'Extension minimal'!$A$2:$A$24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'Extension minimal'!$B$2:$B$24</c:f>
              <c:numCache>
                <c:formatCode>_(* #,##0_);_(* \(#,##0\);_(* "-"??_);_(@_)</c:formatCode>
                <c:ptCount val="23"/>
                <c:pt idx="0">
                  <c:v>7875.5238517486196</c:v>
                </c:pt>
                <c:pt idx="1">
                  <c:v>8108.0902766781601</c:v>
                </c:pt>
                <c:pt idx="2">
                  <c:v>12369.96073091172</c:v>
                </c:pt>
                <c:pt idx="3">
                  <c:v>11503.626056940169</c:v>
                </c:pt>
                <c:pt idx="4">
                  <c:v>12285.77498390178</c:v>
                </c:pt>
                <c:pt idx="5">
                  <c:v>7802.2241927141004</c:v>
                </c:pt>
                <c:pt idx="6">
                  <c:v>7256.4023392553499</c:v>
                </c:pt>
                <c:pt idx="7">
                  <c:v>5703.2544784706097</c:v>
                </c:pt>
                <c:pt idx="8">
                  <c:v>4470.6854144894496</c:v>
                </c:pt>
                <c:pt idx="9">
                  <c:v>3558.6291710210899</c:v>
                </c:pt>
                <c:pt idx="10">
                  <c:v>4020.1993011791101</c:v>
                </c:pt>
                <c:pt idx="11">
                  <c:v>3932.2529055958398</c:v>
                </c:pt>
                <c:pt idx="12">
                  <c:v>4714.2698799759301</c:v>
                </c:pt>
                <c:pt idx="13">
                  <c:v>6366.1842480286105</c:v>
                </c:pt>
                <c:pt idx="14">
                  <c:v>7926.9193822507805</c:v>
                </c:pt>
                <c:pt idx="15">
                  <c:v>9212.46740771236</c:v>
                </c:pt>
                <c:pt idx="16">
                  <c:v>9536.608924216991</c:v>
                </c:pt>
                <c:pt idx="17">
                  <c:v>10822.222925969309</c:v>
                </c:pt>
                <c:pt idx="18">
                  <c:v>12886.48911127296</c:v>
                </c:pt>
                <c:pt idx="19">
                  <c:v>15011.19807665917</c:v>
                </c:pt>
                <c:pt idx="20">
                  <c:v>16288.019771774811</c:v>
                </c:pt>
                <c:pt idx="21">
                  <c:v>20543.895345768538</c:v>
                </c:pt>
                <c:pt idx="22">
                  <c:v>21280.124774360993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97-394B-BB63-C3B736DF3E54}"/>
            </c:ext>
          </c:extLst>
        </c:ser>
        <c:ser>
          <c:idx val="2"/>
          <c:order val="1"/>
          <c:tx>
            <c:v>Non-upzoned</c:v>
          </c:tx>
          <c:spPr>
            <a:ln w="127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'Extension minimal'!$A$2:$A$24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'Extension minimal'!$C$2:$C$24</c:f>
              <c:numCache>
                <c:formatCode>_(* #,##0_);_(* \(#,##0\);_(* "-"??_);_(@_)</c:formatCode>
                <c:ptCount val="23"/>
                <c:pt idx="0">
                  <c:v>3067.7655677655598</c:v>
                </c:pt>
                <c:pt idx="1">
                  <c:v>3298.5506328445799</c:v>
                </c:pt>
                <c:pt idx="2">
                  <c:v>5864.5005330884196</c:v>
                </c:pt>
                <c:pt idx="3">
                  <c:v>5087.8936145506696</c:v>
                </c:pt>
                <c:pt idx="4">
                  <c:v>6875.4552364062401</c:v>
                </c:pt>
                <c:pt idx="5">
                  <c:v>3901.1120963570502</c:v>
                </c:pt>
                <c:pt idx="6">
                  <c:v>3673.9557272698398</c:v>
                </c:pt>
                <c:pt idx="7">
                  <c:v>2760.0521476602098</c:v>
                </c:pt>
                <c:pt idx="8">
                  <c:v>2349.8115717135902</c:v>
                </c:pt>
                <c:pt idx="9">
                  <c:v>1527.48308367904</c:v>
                </c:pt>
                <c:pt idx="10">
                  <c:v>1712.5465792612699</c:v>
                </c:pt>
                <c:pt idx="11">
                  <c:v>1805.9030306868899</c:v>
                </c:pt>
                <c:pt idx="12">
                  <c:v>2173.9187805470201</c:v>
                </c:pt>
                <c:pt idx="13">
                  <c:v>2999.9419408641202</c:v>
                </c:pt>
                <c:pt idx="14">
                  <c:v>3642.8149180310502</c:v>
                </c:pt>
                <c:pt idx="15">
                  <c:v>4194.1128036228902</c:v>
                </c:pt>
                <c:pt idx="16">
                  <c:v>4195.96013976417</c:v>
                </c:pt>
                <c:pt idx="17">
                  <c:v>4472.4667743399696</c:v>
                </c:pt>
                <c:pt idx="18">
                  <c:v>3512.8416252335501</c:v>
                </c:pt>
                <c:pt idx="19">
                  <c:v>3606.1980766591701</c:v>
                </c:pt>
                <c:pt idx="20">
                  <c:v>2967.0197717748101</c:v>
                </c:pt>
                <c:pt idx="21">
                  <c:v>3976.1271389513399</c:v>
                </c:pt>
                <c:pt idx="22">
                  <c:v>4344.2748413929903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7-394B-BB63-C3B736DF3E54}"/>
            </c:ext>
          </c:extLst>
        </c:ser>
        <c:ser>
          <c:idx val="3"/>
          <c:order val="2"/>
          <c:tx>
            <c:v>Upzoned</c:v>
          </c:tx>
          <c:spPr>
            <a:ln w="1270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'Extension minimal'!$A$2:$A$24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'Extension minimal'!$D$2:$D$24</c:f>
              <c:numCache>
                <c:formatCode>_(* #,##0_);_(* \(#,##0\);_(* "-"??_);_(@_)</c:formatCode>
                <c:ptCount val="23"/>
                <c:pt idx="0">
                  <c:v>4807.7582839830602</c:v>
                </c:pt>
                <c:pt idx="1">
                  <c:v>4809.5396438335802</c:v>
                </c:pt>
                <c:pt idx="2">
                  <c:v>6505.4601978233004</c:v>
                </c:pt>
                <c:pt idx="3">
                  <c:v>6415.7324423894997</c:v>
                </c:pt>
                <c:pt idx="4">
                  <c:v>5410.3197474955396</c:v>
                </c:pt>
                <c:pt idx="5">
                  <c:v>3901.1120963570502</c:v>
                </c:pt>
                <c:pt idx="6">
                  <c:v>3582.4466119855101</c:v>
                </c:pt>
                <c:pt idx="7">
                  <c:v>2943.2023308103999</c:v>
                </c:pt>
                <c:pt idx="8">
                  <c:v>2120.8738427758599</c:v>
                </c:pt>
                <c:pt idx="9">
                  <c:v>2031.1460873420499</c:v>
                </c:pt>
                <c:pt idx="10">
                  <c:v>2307.6527219178402</c:v>
                </c:pt>
                <c:pt idx="11">
                  <c:v>2126.3498749089499</c:v>
                </c:pt>
                <c:pt idx="12">
                  <c:v>2540.3510994289099</c:v>
                </c:pt>
                <c:pt idx="13">
                  <c:v>3366.2423071644898</c:v>
                </c:pt>
                <c:pt idx="14">
                  <c:v>4284.1044642197303</c:v>
                </c:pt>
                <c:pt idx="15">
                  <c:v>5018.3546040894698</c:v>
                </c:pt>
                <c:pt idx="16">
                  <c:v>5340.6487844528201</c:v>
                </c:pt>
                <c:pt idx="17">
                  <c:v>6349.7561516293399</c:v>
                </c:pt>
                <c:pt idx="18">
                  <c:v>9373.6474860394101</c:v>
                </c:pt>
                <c:pt idx="19">
                  <c:v>11405</c:v>
                </c:pt>
                <c:pt idx="20">
                  <c:v>13321</c:v>
                </c:pt>
                <c:pt idx="21">
                  <c:v>16567.7682068172</c:v>
                </c:pt>
                <c:pt idx="22">
                  <c:v>16935.849932968002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97-394B-BB63-C3B736DF3E54}"/>
            </c:ext>
          </c:extLst>
        </c:ser>
        <c:ser>
          <c:idx val="4"/>
          <c:order val="3"/>
          <c:tx>
            <c:v>Counterfactual</c:v>
          </c:tx>
          <c:spPr>
            <a:ln w="28575" cap="rnd">
              <a:solidFill>
                <a:srgbClr val="FF40FF"/>
              </a:solidFill>
              <a:round/>
            </a:ln>
            <a:effectLst/>
          </c:spPr>
          <c:marker>
            <c:symbol val="none"/>
          </c:marker>
          <c:cat>
            <c:numRef>
              <c:f>'Extension minimal'!$A$2:$A$24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'Extension minimal'!$E$2:$E$24</c:f>
              <c:numCache>
                <c:formatCode>_(* #,##0_);_(* \(#,##0\);_(* "-"??_);_(@_)</c:formatCode>
                <c:ptCount val="23"/>
                <c:pt idx="5">
                  <c:v>476.34881928829043</c:v>
                </c:pt>
                <c:pt idx="6">
                  <c:v>1212.5782478808305</c:v>
                </c:pt>
                <c:pt idx="7">
                  <c:v>1948.8076764733705</c:v>
                </c:pt>
                <c:pt idx="8">
                  <c:v>2685.0371050659105</c:v>
                </c:pt>
                <c:pt idx="9">
                  <c:v>3421.2665336584505</c:v>
                </c:pt>
                <c:pt idx="10">
                  <c:v>4157.4959622509905</c:v>
                </c:pt>
                <c:pt idx="11">
                  <c:v>4893.7253908435305</c:v>
                </c:pt>
                <c:pt idx="12">
                  <c:v>5629.9548194360705</c:v>
                </c:pt>
                <c:pt idx="13">
                  <c:v>6366.1842480286105</c:v>
                </c:pt>
                <c:pt idx="14">
                  <c:v>7102.4136766211504</c:v>
                </c:pt>
                <c:pt idx="15">
                  <c:v>7838.6431052136904</c:v>
                </c:pt>
                <c:pt idx="16">
                  <c:v>8574.8725338062304</c:v>
                </c:pt>
                <c:pt idx="17">
                  <c:v>9311.1019623987704</c:v>
                </c:pt>
                <c:pt idx="18">
                  <c:v>10047.33139099131</c:v>
                </c:pt>
                <c:pt idx="19">
                  <c:v>10783.56081958385</c:v>
                </c:pt>
                <c:pt idx="20">
                  <c:v>11519.79024817639</c:v>
                </c:pt>
                <c:pt idx="21">
                  <c:v>12256.01967676893</c:v>
                </c:pt>
                <c:pt idx="22">
                  <c:v>12992.24910536147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97-394B-BB63-C3B736DF3E54}"/>
            </c:ext>
          </c:extLst>
        </c:ser>
        <c:ser>
          <c:idx val="0"/>
          <c:order val="4"/>
          <c:tx>
            <c:v>Main counterfactual</c:v>
          </c:tx>
          <c:spPr>
            <a:ln w="28575" cap="rnd">
              <a:solidFill>
                <a:srgbClr val="FF40FF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'Extension minimal'!$J$2:$J$24</c:f>
              <c:numCache>
                <c:formatCode>_(* #,##0_);_(* \(#,##0\);_(* "-"??_);_(@_)</c:formatCode>
                <c:ptCount val="23"/>
                <c:pt idx="0">
                  <c:v>3668.3195637698227</c:v>
                </c:pt>
                <c:pt idx="1">
                  <c:v>4037.9294200326585</c:v>
                </c:pt>
                <c:pt idx="2">
                  <c:v>4407.5392762954943</c:v>
                </c:pt>
                <c:pt idx="3">
                  <c:v>4777.1491325583302</c:v>
                </c:pt>
                <c:pt idx="4">
                  <c:v>5146.758988821166</c:v>
                </c:pt>
                <c:pt idx="5">
                  <c:v>5516.3688450840018</c:v>
                </c:pt>
                <c:pt idx="6">
                  <c:v>5885.9787013468376</c:v>
                </c:pt>
                <c:pt idx="7">
                  <c:v>6255.5885576096734</c:v>
                </c:pt>
                <c:pt idx="8">
                  <c:v>6625.1984138725093</c:v>
                </c:pt>
                <c:pt idx="9">
                  <c:v>6994.8082701353451</c:v>
                </c:pt>
                <c:pt idx="10">
                  <c:v>7364.4181263981809</c:v>
                </c:pt>
                <c:pt idx="11">
                  <c:v>7734.0279826610167</c:v>
                </c:pt>
                <c:pt idx="12">
                  <c:v>8103.6378389238525</c:v>
                </c:pt>
                <c:pt idx="13">
                  <c:v>8473.2476951866884</c:v>
                </c:pt>
                <c:pt idx="14">
                  <c:v>8842.8575514495242</c:v>
                </c:pt>
                <c:pt idx="15">
                  <c:v>9212.46740771236</c:v>
                </c:pt>
                <c:pt idx="16">
                  <c:v>9582.0772639751958</c:v>
                </c:pt>
                <c:pt idx="17">
                  <c:v>9951.6871202380316</c:v>
                </c:pt>
                <c:pt idx="18">
                  <c:v>10321.296976500867</c:v>
                </c:pt>
                <c:pt idx="19">
                  <c:v>10690.906832763703</c:v>
                </c:pt>
                <c:pt idx="20">
                  <c:v>11060.516689026539</c:v>
                </c:pt>
                <c:pt idx="21">
                  <c:v>11430.126545289375</c:v>
                </c:pt>
                <c:pt idx="22">
                  <c:v>11799.736401552211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97-394B-BB63-C3B736DF3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0421744"/>
        <c:axId val="1912261856"/>
      </c:lineChart>
      <c:catAx>
        <c:axId val="193042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261856"/>
        <c:crosses val="autoZero"/>
        <c:auto val="1"/>
        <c:lblAlgn val="ctr"/>
        <c:lblOffset val="100"/>
        <c:noMultiLvlLbl val="0"/>
      </c:catAx>
      <c:valAx>
        <c:axId val="191226185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42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09443471669833"/>
          <c:y val="0.86305043956280081"/>
          <c:w val="0.77585116577895508"/>
          <c:h val="0.127712663358797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</xdr:row>
      <xdr:rowOff>12700</xdr:rowOff>
    </xdr:from>
    <xdr:to>
      <xdr:col>17</xdr:col>
      <xdr:colOff>330200</xdr:colOff>
      <xdr:row>14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735BCE-DFB0-16E8-E2AA-70E832EDF3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19</xdr:row>
      <xdr:rowOff>76199</xdr:rowOff>
    </xdr:from>
    <xdr:to>
      <xdr:col>13</xdr:col>
      <xdr:colOff>745066</xdr:colOff>
      <xdr:row>48</xdr:row>
      <xdr:rowOff>16932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9F68795-FA18-75FB-B3FE-E1E72E2AE4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</xdr:row>
      <xdr:rowOff>12700</xdr:rowOff>
    </xdr:from>
    <xdr:to>
      <xdr:col>17</xdr:col>
      <xdr:colOff>330200</xdr:colOff>
      <xdr:row>19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E64F79-40BB-CB48-AB5F-21DF8E721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84665</xdr:colOff>
      <xdr:row>28</xdr:row>
      <xdr:rowOff>71336</xdr:rowOff>
    </xdr:from>
    <xdr:to>
      <xdr:col>16</xdr:col>
      <xdr:colOff>745066</xdr:colOff>
      <xdr:row>60</xdr:row>
      <xdr:rowOff>172395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3571CD-B848-2F4F-98E9-7F31C9DEA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6C76B-3837-FF4B-B1A0-442F8FD98A08}">
  <dimension ref="A1:L20"/>
  <sheetViews>
    <sheetView tabSelected="1" zoomScale="70" zoomScaleNormal="70" workbookViewId="0">
      <selection activeCell="J17" sqref="J17"/>
    </sheetView>
  </sheetViews>
  <sheetFormatPr defaultColWidth="10.85546875" defaultRowHeight="15.9" x14ac:dyDescent="0.45"/>
  <cols>
    <col min="3" max="4" width="13.5" customWidth="1"/>
    <col min="5" max="5" width="13.85546875" customWidth="1"/>
    <col min="10" max="10" width="14.35546875" customWidth="1"/>
    <col min="11" max="11" width="13.35546875" customWidth="1"/>
  </cols>
  <sheetData>
    <row r="1" spans="1:12" x14ac:dyDescent="0.45">
      <c r="A1" s="21" t="s">
        <v>9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4"/>
      <c r="K1" s="21" t="s">
        <v>13</v>
      </c>
      <c r="L1" s="21" t="s">
        <v>14</v>
      </c>
    </row>
    <row r="2" spans="1:12" x14ac:dyDescent="0.45">
      <c r="A2">
        <v>2010</v>
      </c>
      <c r="B2" s="2">
        <v>3203.28542094455</v>
      </c>
      <c r="C2" s="11">
        <v>1139.63039014373</v>
      </c>
      <c r="D2" s="3">
        <v>2063.65503080082</v>
      </c>
      <c r="E2" s="3">
        <f t="shared" ref="E2:E5" si="0">E3-2*C$14</f>
        <v>3819.301848049261</v>
      </c>
    </row>
    <row r="3" spans="1:12" x14ac:dyDescent="0.45">
      <c r="A3">
        <v>2011</v>
      </c>
      <c r="B3" s="2">
        <v>3018.4804928131298</v>
      </c>
      <c r="C3" s="3">
        <v>1139.63039014373</v>
      </c>
      <c r="D3" s="3">
        <v>1878.8501026694</v>
      </c>
      <c r="E3" s="3">
        <f t="shared" si="0"/>
        <v>4188.9117043120968</v>
      </c>
      <c r="K3" s="23">
        <f>B3/B2-1</f>
        <v>-5.7692307692308931E-2</v>
      </c>
    </row>
    <row r="4" spans="1:12" x14ac:dyDescent="0.45">
      <c r="A4">
        <v>2012</v>
      </c>
      <c r="B4" s="2">
        <v>3572.8952772073799</v>
      </c>
      <c r="C4" s="3">
        <v>1324.4353182751499</v>
      </c>
      <c r="D4" s="3">
        <v>2248.4599589322302</v>
      </c>
      <c r="E4" s="3">
        <f t="shared" si="0"/>
        <v>4558.5215605749327</v>
      </c>
      <c r="K4" s="23">
        <f t="shared" ref="K4:K13" si="1">B4/B3-1</f>
        <v>0.18367346938775575</v>
      </c>
    </row>
    <row r="5" spans="1:12" x14ac:dyDescent="0.45">
      <c r="A5">
        <v>2013</v>
      </c>
      <c r="B5" s="2">
        <v>4527.7207392196997</v>
      </c>
      <c r="C5" s="3">
        <v>1601.64271047227</v>
      </c>
      <c r="D5" s="3">
        <v>2926.0780287474299</v>
      </c>
      <c r="E5" s="3">
        <f t="shared" si="0"/>
        <v>4928.1314168377685</v>
      </c>
      <c r="K5" s="23">
        <f t="shared" si="1"/>
        <v>0.26724137931034564</v>
      </c>
    </row>
    <row r="6" spans="1:12" x14ac:dyDescent="0.45">
      <c r="A6">
        <v>2014</v>
      </c>
      <c r="B6" s="2">
        <v>5174.5379876796596</v>
      </c>
      <c r="C6" s="3">
        <v>1817.24845995893</v>
      </c>
      <c r="D6" s="3">
        <v>3357.2895277207299</v>
      </c>
      <c r="E6" s="3">
        <f>E7-2*C$14</f>
        <v>5297.7412731006043</v>
      </c>
      <c r="K6" s="23">
        <f t="shared" si="1"/>
        <v>0.14285714285714346</v>
      </c>
    </row>
    <row r="7" spans="1:12" x14ac:dyDescent="0.45">
      <c r="A7" s="1">
        <v>2015</v>
      </c>
      <c r="B7" s="13">
        <v>5667.3511293634401</v>
      </c>
      <c r="C7" s="12">
        <v>2063.65503080082</v>
      </c>
      <c r="D7" s="4">
        <v>3603.6960985626201</v>
      </c>
      <c r="E7" s="5">
        <f>B7</f>
        <v>5667.3511293634401</v>
      </c>
      <c r="F7" s="21" t="s">
        <v>17</v>
      </c>
      <c r="G7" s="21" t="s">
        <v>11</v>
      </c>
      <c r="K7" s="23">
        <f t="shared" si="1"/>
        <v>9.5238095238095788E-2</v>
      </c>
    </row>
    <row r="8" spans="1:12" x14ac:dyDescent="0.45">
      <c r="A8">
        <v>2016</v>
      </c>
      <c r="B8" s="14">
        <v>4774.1273100615999</v>
      </c>
      <c r="C8" s="3">
        <v>1755.6468172484599</v>
      </c>
      <c r="D8" s="3">
        <v>3018.4804928131398</v>
      </c>
      <c r="E8" s="6">
        <f t="shared" ref="E8:E13" si="2">E7+2*C$14</f>
        <v>6036.9609856262759</v>
      </c>
      <c r="F8" s="18">
        <f>(B8-E8)/479</f>
        <v>-2.6363959823897201</v>
      </c>
      <c r="G8" s="19">
        <v>-2.63</v>
      </c>
      <c r="K8" s="23">
        <f t="shared" si="1"/>
        <v>-0.15760869565217284</v>
      </c>
      <c r="L8" s="23">
        <f>E8/E7-1</f>
        <v>6.5217391304348338E-2</v>
      </c>
    </row>
    <row r="9" spans="1:12" x14ac:dyDescent="0.45">
      <c r="A9">
        <v>2017</v>
      </c>
      <c r="B9" s="14">
        <v>7484.5995893223608</v>
      </c>
      <c r="C9" s="3">
        <v>1909.6509240246301</v>
      </c>
      <c r="D9" s="3">
        <v>5574.9486652977303</v>
      </c>
      <c r="E9" s="6">
        <f t="shared" si="2"/>
        <v>6406.5708418891118</v>
      </c>
      <c r="F9" s="18">
        <f t="shared" ref="F9:F13" si="3">(B9-E9)/479</f>
        <v>2.2505819361863235</v>
      </c>
      <c r="G9" s="19">
        <v>2.34</v>
      </c>
      <c r="K9" s="23">
        <f t="shared" si="1"/>
        <v>0.56774193548386709</v>
      </c>
      <c r="L9" s="23">
        <f t="shared" ref="L9:L13" si="4">E9/E8-1</f>
        <v>6.1224489795918879E-2</v>
      </c>
    </row>
    <row r="10" spans="1:12" x14ac:dyDescent="0.45">
      <c r="A10">
        <v>2018</v>
      </c>
      <c r="B10" s="14">
        <v>10010.26694045174</v>
      </c>
      <c r="C10" s="3">
        <v>1478.4394250513301</v>
      </c>
      <c r="D10" s="3">
        <v>8531.8275154004095</v>
      </c>
      <c r="E10" s="6">
        <f t="shared" si="2"/>
        <v>6776.1806981519476</v>
      </c>
      <c r="F10" s="18">
        <f t="shared" si="3"/>
        <v>6.7517458085590656</v>
      </c>
      <c r="G10" s="19">
        <v>6.79</v>
      </c>
      <c r="K10" s="23">
        <f t="shared" si="1"/>
        <v>0.33744855967078502</v>
      </c>
      <c r="L10" s="23">
        <f t="shared" si="4"/>
        <v>5.7692307692308153E-2</v>
      </c>
    </row>
    <row r="11" spans="1:12" x14ac:dyDescent="0.45">
      <c r="A11">
        <v>2019</v>
      </c>
      <c r="B11" s="14">
        <v>11550.30800821348</v>
      </c>
      <c r="C11" s="3">
        <v>1262.8336755646801</v>
      </c>
      <c r="D11" s="3">
        <v>10287.474332648801</v>
      </c>
      <c r="E11" s="6">
        <f t="shared" si="2"/>
        <v>7145.7905544147834</v>
      </c>
      <c r="F11" s="18">
        <f t="shared" si="3"/>
        <v>9.1952347678469657</v>
      </c>
      <c r="G11" s="19">
        <v>8.9499999999999993</v>
      </c>
      <c r="K11" s="23">
        <f t="shared" si="1"/>
        <v>0.1538461538461473</v>
      </c>
      <c r="L11" s="23">
        <f t="shared" si="4"/>
        <v>5.4545454545454897E-2</v>
      </c>
    </row>
    <row r="12" spans="1:12" x14ac:dyDescent="0.45">
      <c r="A12">
        <v>2020</v>
      </c>
      <c r="B12" s="14">
        <v>13305.954825461969</v>
      </c>
      <c r="C12" s="3">
        <v>1509.2402464065699</v>
      </c>
      <c r="D12" s="3">
        <v>11796.7145790554</v>
      </c>
      <c r="E12" s="6">
        <f t="shared" si="2"/>
        <v>7515.4004106776192</v>
      </c>
      <c r="F12" s="18">
        <f t="shared" si="3"/>
        <v>12.088840114372339</v>
      </c>
      <c r="G12" s="19">
        <v>12.09</v>
      </c>
      <c r="K12" s="23">
        <f t="shared" si="1"/>
        <v>0.15200000000000347</v>
      </c>
      <c r="L12" s="23">
        <f t="shared" si="4"/>
        <v>5.1724137931034697E-2</v>
      </c>
    </row>
    <row r="13" spans="1:12" x14ac:dyDescent="0.45">
      <c r="A13">
        <v>2021</v>
      </c>
      <c r="B13" s="14">
        <v>16509.240246406509</v>
      </c>
      <c r="C13" s="3">
        <v>1971.2525667351099</v>
      </c>
      <c r="D13" s="3">
        <v>14537.9876796714</v>
      </c>
      <c r="E13" s="6">
        <f t="shared" si="2"/>
        <v>7885.010266940455</v>
      </c>
      <c r="F13" s="18">
        <f t="shared" si="3"/>
        <v>18.00465548949072</v>
      </c>
      <c r="G13" s="19">
        <v>18</v>
      </c>
      <c r="K13" s="23">
        <f t="shared" si="1"/>
        <v>0.24074074074074003</v>
      </c>
      <c r="L13" s="23">
        <f>E13/E12-1</f>
        <v>4.9180327868852736E-2</v>
      </c>
    </row>
    <row r="14" spans="1:12" ht="16.3" thickBot="1" x14ac:dyDescent="0.5">
      <c r="B14" s="7" t="s">
        <v>6</v>
      </c>
      <c r="C14" s="8">
        <f>(C7-C2)/5</f>
        <v>184.804928131418</v>
      </c>
      <c r="D14" s="26"/>
      <c r="E14" s="7" t="s">
        <v>0</v>
      </c>
      <c r="F14" s="9">
        <f>SUM(F8:F13)</f>
        <v>45.654662134065688</v>
      </c>
      <c r="G14" s="22">
        <f>SUM(G8:G13)</f>
        <v>45.54</v>
      </c>
      <c r="H14" s="21" t="s">
        <v>5</v>
      </c>
    </row>
    <row r="15" spans="1:12" ht="16.3" thickBot="1" x14ac:dyDescent="0.5">
      <c r="E15" s="7" t="s">
        <v>7</v>
      </c>
      <c r="F15" s="25">
        <f>SUM(B8:B13)-SUM(E8:E13)</f>
        <v>21868.583162217459</v>
      </c>
      <c r="G15" s="36">
        <f>G14*479</f>
        <v>21813.66</v>
      </c>
      <c r="H15" s="10">
        <f>F14/G14-1</f>
        <v>2.5178334226105825E-3</v>
      </c>
      <c r="J15" s="7" t="s">
        <v>20</v>
      </c>
      <c r="K15" s="27">
        <f>AVERAGE(K3:K7)</f>
        <v>0.12626355582020635</v>
      </c>
    </row>
    <row r="16" spans="1:12" x14ac:dyDescent="0.45">
      <c r="J16" s="7" t="s">
        <v>21</v>
      </c>
      <c r="K16" s="27">
        <f>AVERAGE(L8:L13)</f>
        <v>5.6597351522986283E-2</v>
      </c>
    </row>
    <row r="17" spans="1:11" x14ac:dyDescent="0.45">
      <c r="A17" s="15"/>
      <c r="B17" t="s">
        <v>12</v>
      </c>
      <c r="J17" s="7" t="s">
        <v>19</v>
      </c>
      <c r="K17" s="27">
        <f>(B7/B2)^(1/5)-1</f>
        <v>0.12087426179583316</v>
      </c>
    </row>
    <row r="18" spans="1:11" x14ac:dyDescent="0.45">
      <c r="A18" s="16"/>
      <c r="B18" t="s">
        <v>8</v>
      </c>
      <c r="J18" s="7" t="s">
        <v>18</v>
      </c>
      <c r="K18" s="27">
        <f>(E13/E7)^(1/6)-1</f>
        <v>5.6583174198461705E-2</v>
      </c>
    </row>
    <row r="19" spans="1:11" x14ac:dyDescent="0.45">
      <c r="A19" s="17"/>
      <c r="B19" t="s">
        <v>7</v>
      </c>
    </row>
    <row r="20" spans="1:11" x14ac:dyDescent="0.45">
      <c r="A20" s="20"/>
      <c r="B20" t="s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86675-DF6A-2746-B286-A035D684955D}">
  <dimension ref="A1:L30"/>
  <sheetViews>
    <sheetView zoomScale="70" zoomScaleNormal="70" workbookViewId="0">
      <selection activeCell="G27" sqref="G27"/>
    </sheetView>
  </sheetViews>
  <sheetFormatPr defaultColWidth="10.85546875" defaultRowHeight="15.9" x14ac:dyDescent="0.45"/>
  <cols>
    <col min="5" max="5" width="14.140625" customWidth="1"/>
    <col min="7" max="7" width="12.640625" customWidth="1"/>
    <col min="9" max="9" width="15.2109375" customWidth="1"/>
  </cols>
  <sheetData>
    <row r="1" spans="1:12" x14ac:dyDescent="0.45">
      <c r="A1" s="21" t="s">
        <v>9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4"/>
      <c r="J1" s="21" t="s">
        <v>16</v>
      </c>
      <c r="K1" s="21" t="s">
        <v>13</v>
      </c>
      <c r="L1" s="21" t="s">
        <v>14</v>
      </c>
    </row>
    <row r="2" spans="1:12" x14ac:dyDescent="0.45">
      <c r="A2">
        <v>2000</v>
      </c>
      <c r="B2" s="3">
        <f t="shared" ref="B2:B15" si="0">C2+D2</f>
        <v>7875.5238517486196</v>
      </c>
      <c r="C2" s="3">
        <v>3067.7655677655598</v>
      </c>
      <c r="D2" s="3">
        <v>4807.7582839830602</v>
      </c>
      <c r="E2" s="3"/>
      <c r="J2" s="3">
        <f>J3-2*'Main minimal'!C$14</f>
        <v>3668.3195637698227</v>
      </c>
    </row>
    <row r="3" spans="1:12" x14ac:dyDescent="0.45">
      <c r="A3">
        <v>2001</v>
      </c>
      <c r="B3" s="3">
        <f t="shared" si="0"/>
        <v>8108.0902766781601</v>
      </c>
      <c r="C3" s="3">
        <v>3298.5506328445799</v>
      </c>
      <c r="D3" s="3">
        <v>4809.5396438335802</v>
      </c>
      <c r="E3" s="3"/>
      <c r="J3" s="3">
        <f>J4-2*'Main minimal'!C$14</f>
        <v>4037.9294200326585</v>
      </c>
      <c r="K3" s="23">
        <f>B3/B2-1</f>
        <v>2.9530280055961367E-2</v>
      </c>
    </row>
    <row r="4" spans="1:12" x14ac:dyDescent="0.45">
      <c r="A4">
        <v>2002</v>
      </c>
      <c r="B4" s="3">
        <f t="shared" si="0"/>
        <v>12369.96073091172</v>
      </c>
      <c r="C4" s="3">
        <v>5864.5005330884196</v>
      </c>
      <c r="D4" s="3">
        <v>6505.4601978233004</v>
      </c>
      <c r="E4" s="3"/>
      <c r="J4" s="3">
        <f>J5-2*'Main minimal'!C$14</f>
        <v>4407.5392762954943</v>
      </c>
      <c r="K4" s="23">
        <f t="shared" ref="K4:K24" si="1">B4/B3-1</f>
        <v>0.52563184533012186</v>
      </c>
    </row>
    <row r="5" spans="1:12" x14ac:dyDescent="0.45">
      <c r="A5">
        <v>2003</v>
      </c>
      <c r="B5" s="3">
        <f t="shared" si="0"/>
        <v>11503.626056940169</v>
      </c>
      <c r="C5" s="3">
        <v>5087.8936145506696</v>
      </c>
      <c r="D5" s="3">
        <v>6415.7324423894997</v>
      </c>
      <c r="E5" s="3"/>
      <c r="J5" s="3">
        <f>J6-2*'Main minimal'!C$14</f>
        <v>4777.1491325583302</v>
      </c>
      <c r="K5" s="23">
        <f t="shared" si="1"/>
        <v>-7.0035361697360687E-2</v>
      </c>
    </row>
    <row r="6" spans="1:12" x14ac:dyDescent="0.45">
      <c r="A6">
        <v>2004</v>
      </c>
      <c r="B6" s="3">
        <f t="shared" si="0"/>
        <v>12285.77498390178</v>
      </c>
      <c r="C6" s="3">
        <v>6875.4552364062401</v>
      </c>
      <c r="D6" s="3">
        <v>5410.3197474955396</v>
      </c>
      <c r="E6" s="3"/>
      <c r="J6" s="3">
        <f>J7-2*'Main minimal'!C$14</f>
        <v>5146.758988821166</v>
      </c>
      <c r="K6" s="23">
        <f t="shared" si="1"/>
        <v>6.7991511814636807E-2</v>
      </c>
    </row>
    <row r="7" spans="1:12" x14ac:dyDescent="0.45">
      <c r="A7">
        <v>2005</v>
      </c>
      <c r="B7" s="3">
        <f t="shared" si="0"/>
        <v>7802.2241927141004</v>
      </c>
      <c r="C7" s="3">
        <v>3901.1120963570502</v>
      </c>
      <c r="D7" s="3">
        <v>3901.1120963570502</v>
      </c>
      <c r="E7" s="3">
        <f t="shared" ref="E7:E13" si="2">E8-2*C$25</f>
        <v>476.34881928829043</v>
      </c>
      <c r="J7" s="3">
        <f>J8-2*'Main minimal'!C$14</f>
        <v>5516.3688450840018</v>
      </c>
      <c r="K7" s="23">
        <f t="shared" si="1"/>
        <v>-0.36493837768171222</v>
      </c>
    </row>
    <row r="8" spans="1:12" x14ac:dyDescent="0.45">
      <c r="A8">
        <v>2006</v>
      </c>
      <c r="B8" s="3">
        <f t="shared" si="0"/>
        <v>7256.4023392553499</v>
      </c>
      <c r="C8" s="3">
        <v>3673.9557272698398</v>
      </c>
      <c r="D8" s="3">
        <v>3582.4466119855101</v>
      </c>
      <c r="E8" s="3">
        <f t="shared" si="2"/>
        <v>1212.5782478808305</v>
      </c>
      <c r="G8" s="29"/>
      <c r="J8" s="3">
        <f>J9-2*'Main minimal'!C$14</f>
        <v>5885.9787013468376</v>
      </c>
      <c r="K8" s="23">
        <f t="shared" si="1"/>
        <v>-6.9957212197061969E-2</v>
      </c>
      <c r="L8" s="23">
        <f>E8/E7-1</f>
        <v>1.5455678670360422</v>
      </c>
    </row>
    <row r="9" spans="1:12" x14ac:dyDescent="0.45">
      <c r="A9">
        <v>2007</v>
      </c>
      <c r="B9" s="3">
        <f t="shared" si="0"/>
        <v>5703.2544784706097</v>
      </c>
      <c r="C9" s="3">
        <v>2760.0521476602098</v>
      </c>
      <c r="D9" s="3">
        <v>2943.2023308103999</v>
      </c>
      <c r="E9" s="3">
        <f t="shared" si="2"/>
        <v>1948.8076764733705</v>
      </c>
      <c r="G9" s="29"/>
      <c r="J9" s="3">
        <f>J10-2*'Main minimal'!C$14</f>
        <v>6255.5885576096734</v>
      </c>
      <c r="K9" s="23">
        <f t="shared" si="1"/>
        <v>-0.21403827794699215</v>
      </c>
      <c r="L9" s="23">
        <f t="shared" ref="L9:L24" si="3">E9/E8-1</f>
        <v>0.60716034604712377</v>
      </c>
    </row>
    <row r="10" spans="1:12" x14ac:dyDescent="0.45">
      <c r="A10">
        <v>2008</v>
      </c>
      <c r="B10" s="3">
        <f t="shared" si="0"/>
        <v>4470.6854144894496</v>
      </c>
      <c r="C10" s="3">
        <v>2349.8115717135902</v>
      </c>
      <c r="D10" s="3">
        <v>2120.8738427758599</v>
      </c>
      <c r="E10" s="3">
        <f t="shared" si="2"/>
        <v>2685.0371050659105</v>
      </c>
      <c r="G10" s="29"/>
      <c r="J10" s="3">
        <f>J11-2*'Main minimal'!C$14</f>
        <v>6625.1984138725093</v>
      </c>
      <c r="K10" s="23">
        <f t="shared" si="1"/>
        <v>-0.21611679237425274</v>
      </c>
      <c r="L10" s="23">
        <f t="shared" si="3"/>
        <v>0.37778454871690892</v>
      </c>
    </row>
    <row r="11" spans="1:12" x14ac:dyDescent="0.45">
      <c r="A11">
        <v>2009</v>
      </c>
      <c r="B11" s="3">
        <f t="shared" si="0"/>
        <v>3558.6291710210899</v>
      </c>
      <c r="C11" s="11">
        <v>1527.48308367904</v>
      </c>
      <c r="D11" s="3">
        <v>2031.1460873420499</v>
      </c>
      <c r="E11" s="3">
        <f t="shared" si="2"/>
        <v>3421.2665336584505</v>
      </c>
      <c r="G11" s="29"/>
      <c r="J11" s="3">
        <f>J12-2*'Main minimal'!C$14</f>
        <v>6994.8082701353451</v>
      </c>
      <c r="K11" s="23">
        <f t="shared" si="1"/>
        <v>-0.20400814615861673</v>
      </c>
      <c r="L11" s="23">
        <f t="shared" si="3"/>
        <v>0.27419711526648261</v>
      </c>
    </row>
    <row r="12" spans="1:12" x14ac:dyDescent="0.45">
      <c r="A12">
        <v>2010</v>
      </c>
      <c r="B12" s="3">
        <f t="shared" si="0"/>
        <v>4020.1993011791101</v>
      </c>
      <c r="C12" s="3">
        <v>1712.5465792612699</v>
      </c>
      <c r="D12" s="3">
        <v>2307.6527219178402</v>
      </c>
      <c r="E12" s="3">
        <f t="shared" si="2"/>
        <v>4157.4959622509905</v>
      </c>
      <c r="G12" s="29"/>
      <c r="J12" s="3">
        <f>J13-2*'Main minimal'!C$14</f>
        <v>7364.4181263981809</v>
      </c>
      <c r="K12" s="23">
        <f t="shared" si="1"/>
        <v>0.12970447550891628</v>
      </c>
      <c r="L12" s="23">
        <f t="shared" si="3"/>
        <v>0.2151920703486585</v>
      </c>
    </row>
    <row r="13" spans="1:12" x14ac:dyDescent="0.45">
      <c r="A13">
        <v>2011</v>
      </c>
      <c r="B13" s="3">
        <f t="shared" si="0"/>
        <v>3932.2529055958398</v>
      </c>
      <c r="C13" s="3">
        <v>1805.9030306868899</v>
      </c>
      <c r="D13" s="3">
        <v>2126.3498749089499</v>
      </c>
      <c r="E13" s="3">
        <f t="shared" si="2"/>
        <v>4893.7253908435305</v>
      </c>
      <c r="G13" s="29"/>
      <c r="J13" s="3">
        <f>J14-2*'Main minimal'!C$14</f>
        <v>7734.0279826610167</v>
      </c>
      <c r="K13" s="23">
        <f t="shared" si="1"/>
        <v>-2.1876128269928241E-2</v>
      </c>
      <c r="L13" s="23">
        <f t="shared" si="3"/>
        <v>0.17708482107434786</v>
      </c>
    </row>
    <row r="14" spans="1:12" x14ac:dyDescent="0.45">
      <c r="A14">
        <v>2012</v>
      </c>
      <c r="B14" s="3">
        <f t="shared" si="0"/>
        <v>4714.2698799759301</v>
      </c>
      <c r="C14" s="3">
        <v>2173.9187805470201</v>
      </c>
      <c r="D14" s="3">
        <v>2540.3510994289099</v>
      </c>
      <c r="E14" s="3">
        <f>E15-2*C$25</f>
        <v>5629.9548194360705</v>
      </c>
      <c r="J14" s="3">
        <f>J15-2*'Main minimal'!C$14</f>
        <v>8103.6378389238525</v>
      </c>
      <c r="K14" s="23">
        <f>B14/B13-1</f>
        <v>0.19887250213922703</v>
      </c>
      <c r="L14" s="23">
        <f t="shared" si="3"/>
        <v>0.15044355164882606</v>
      </c>
    </row>
    <row r="15" spans="1:12" x14ac:dyDescent="0.45">
      <c r="A15" s="1">
        <v>2013</v>
      </c>
      <c r="B15" s="12">
        <f t="shared" si="0"/>
        <v>6366.1842480286105</v>
      </c>
      <c r="C15" s="12">
        <v>2999.9419408641202</v>
      </c>
      <c r="D15" s="5">
        <v>3366.2423071644898</v>
      </c>
      <c r="E15" s="5">
        <f>B15</f>
        <v>6366.1842480286105</v>
      </c>
      <c r="F15" s="21" t="s">
        <v>17</v>
      </c>
      <c r="G15" s="21" t="s">
        <v>11</v>
      </c>
      <c r="J15" s="3">
        <f>J16-2*'Main minimal'!C$14</f>
        <v>8473.2476951866884</v>
      </c>
      <c r="K15" s="30">
        <f t="shared" si="1"/>
        <v>0.35040725501721059</v>
      </c>
      <c r="L15" s="30">
        <f t="shared" si="3"/>
        <v>0.13077004207047715</v>
      </c>
    </row>
    <row r="16" spans="1:12" x14ac:dyDescent="0.45">
      <c r="A16">
        <v>2014</v>
      </c>
      <c r="B16" s="11">
        <f>C16+D16</f>
        <v>7926.9193822507805</v>
      </c>
      <c r="C16" s="3">
        <v>3642.8149180310502</v>
      </c>
      <c r="D16" s="3">
        <v>4284.1044642197303</v>
      </c>
      <c r="E16" s="6">
        <f>E15+2*C$25</f>
        <v>7102.4136766211504</v>
      </c>
      <c r="F16" s="35">
        <f>(B16-E16)/555</f>
        <v>1.4855958659993334</v>
      </c>
      <c r="G16" s="34">
        <v>1.1200000000000001</v>
      </c>
      <c r="H16" s="10"/>
      <c r="J16" s="3">
        <f>J17-2*'Main minimal'!C$14</f>
        <v>8842.8575514495242</v>
      </c>
      <c r="K16" s="23">
        <f t="shared" si="1"/>
        <v>0.24516022053641895</v>
      </c>
      <c r="L16" s="23">
        <f t="shared" si="3"/>
        <v>0.1156468930066743</v>
      </c>
    </row>
    <row r="17" spans="1:12" x14ac:dyDescent="0.45">
      <c r="A17">
        <v>2015</v>
      </c>
      <c r="B17" s="11">
        <f t="shared" ref="B17:B24" si="4">C17+D17</f>
        <v>9212.46740771236</v>
      </c>
      <c r="C17" s="3">
        <v>4194.1128036228902</v>
      </c>
      <c r="D17" s="3">
        <v>5018.3546040894698</v>
      </c>
      <c r="E17" s="6">
        <f t="shared" ref="E17:E24" si="5">E16+2*C$25</f>
        <v>7838.6431052136904</v>
      </c>
      <c r="F17" s="35">
        <f t="shared" ref="F17:F24" si="6">(B17-E17)/555</f>
        <v>2.4753591036012064</v>
      </c>
      <c r="G17" s="34">
        <v>2.19</v>
      </c>
      <c r="H17" s="10"/>
      <c r="J17" s="31">
        <f>B17</f>
        <v>9212.46740771236</v>
      </c>
      <c r="K17" s="23">
        <f t="shared" si="1"/>
        <v>0.16217498418617193</v>
      </c>
      <c r="L17" s="23">
        <f t="shared" si="3"/>
        <v>0.10365904636278356</v>
      </c>
    </row>
    <row r="18" spans="1:12" x14ac:dyDescent="0.45">
      <c r="A18">
        <v>2016</v>
      </c>
      <c r="B18" s="11">
        <f t="shared" si="4"/>
        <v>9536.608924216991</v>
      </c>
      <c r="C18" s="3">
        <v>4195.96013976417</v>
      </c>
      <c r="D18" s="3">
        <v>5340.6487844528201</v>
      </c>
      <c r="E18" s="6">
        <f t="shared" si="5"/>
        <v>8574.8725338062304</v>
      </c>
      <c r="F18" s="35">
        <f t="shared" si="6"/>
        <v>1.7328583611004695</v>
      </c>
      <c r="G18" s="34">
        <v>1.43</v>
      </c>
      <c r="H18" s="10"/>
      <c r="J18" s="32">
        <f>J17+2*'Main minimal'!C$14</f>
        <v>9582.0772639751958</v>
      </c>
      <c r="K18" s="23">
        <f t="shared" si="1"/>
        <v>3.5185092349230063E-2</v>
      </c>
      <c r="L18" s="23">
        <f t="shared" si="3"/>
        <v>9.3923070448615587E-2</v>
      </c>
    </row>
    <row r="19" spans="1:12" x14ac:dyDescent="0.45">
      <c r="A19">
        <v>2017</v>
      </c>
      <c r="B19" s="11">
        <f t="shared" si="4"/>
        <v>10822.222925969309</v>
      </c>
      <c r="C19" s="3">
        <v>4472.4667743399696</v>
      </c>
      <c r="D19" s="3">
        <v>6349.7561516293399</v>
      </c>
      <c r="E19" s="6">
        <f t="shared" si="5"/>
        <v>9311.1019623987704</v>
      </c>
      <c r="F19" s="35">
        <f t="shared" si="6"/>
        <v>2.7227404749018707</v>
      </c>
      <c r="G19" s="33">
        <v>2.48</v>
      </c>
      <c r="J19" s="32">
        <f>J18+2*'Main minimal'!C$14</f>
        <v>9951.6871202380316</v>
      </c>
      <c r="K19" s="23">
        <f t="shared" si="1"/>
        <v>0.1348082963208932</v>
      </c>
      <c r="L19" s="23">
        <f t="shared" si="3"/>
        <v>8.5858935592333596E-2</v>
      </c>
    </row>
    <row r="20" spans="1:12" x14ac:dyDescent="0.45">
      <c r="A20">
        <v>2018</v>
      </c>
      <c r="B20" s="11">
        <f t="shared" si="4"/>
        <v>12886.48911127296</v>
      </c>
      <c r="C20" s="3">
        <v>3512.8416252335501</v>
      </c>
      <c r="D20" s="3">
        <v>9373.6474860394101</v>
      </c>
      <c r="E20" s="6">
        <f t="shared" si="5"/>
        <v>10047.33139099131</v>
      </c>
      <c r="F20" s="35">
        <f t="shared" si="6"/>
        <v>5.1155994960029725</v>
      </c>
      <c r="G20" s="33">
        <v>4.7699999999999996</v>
      </c>
      <c r="J20" s="32">
        <f>J19+2*'Main minimal'!C$14</f>
        <v>10321.296976500867</v>
      </c>
      <c r="K20" s="23">
        <f t="shared" si="1"/>
        <v>0.19074326960593102</v>
      </c>
      <c r="L20" s="23">
        <f t="shared" si="3"/>
        <v>7.9070064055325684E-2</v>
      </c>
    </row>
    <row r="21" spans="1:12" x14ac:dyDescent="0.45">
      <c r="A21">
        <v>2019</v>
      </c>
      <c r="B21" s="11">
        <f t="shared" si="4"/>
        <v>15011.19807665917</v>
      </c>
      <c r="C21" s="3">
        <v>3606.1980766591701</v>
      </c>
      <c r="D21" s="3">
        <v>11405</v>
      </c>
      <c r="E21" s="6">
        <f t="shared" si="5"/>
        <v>10783.56081958385</v>
      </c>
      <c r="F21" s="35">
        <f t="shared" si="6"/>
        <v>7.6173644271627374</v>
      </c>
      <c r="G21" s="34">
        <v>7.58</v>
      </c>
      <c r="H21" s="10"/>
      <c r="J21" s="32">
        <f>J20+2*'Main minimal'!C$14</f>
        <v>10690.906832763703</v>
      </c>
      <c r="K21" s="23">
        <f t="shared" si="1"/>
        <v>0.16487880810976963</v>
      </c>
      <c r="L21" s="23">
        <f t="shared" si="3"/>
        <v>7.3276116805768066E-2</v>
      </c>
    </row>
    <row r="22" spans="1:12" x14ac:dyDescent="0.45">
      <c r="A22">
        <v>2020</v>
      </c>
      <c r="B22" s="11">
        <f t="shared" si="4"/>
        <v>16288.019771774811</v>
      </c>
      <c r="C22" s="3">
        <v>2967.0197717748101</v>
      </c>
      <c r="D22" s="3">
        <v>13321</v>
      </c>
      <c r="E22" s="6">
        <f t="shared" si="5"/>
        <v>11519.79024817639</v>
      </c>
      <c r="F22" s="35">
        <f t="shared" si="6"/>
        <v>8.5914045470241813</v>
      </c>
      <c r="G22" s="34">
        <v>8.61</v>
      </c>
      <c r="H22" s="10"/>
      <c r="J22" s="32">
        <f>J21+2*'Main minimal'!C$14</f>
        <v>11060.516689026539</v>
      </c>
      <c r="K22" s="23">
        <f t="shared" si="1"/>
        <v>8.505794731341032E-2</v>
      </c>
      <c r="L22" s="23">
        <f t="shared" si="3"/>
        <v>6.827331351027266E-2</v>
      </c>
    </row>
    <row r="23" spans="1:12" x14ac:dyDescent="0.45">
      <c r="A23">
        <v>2021</v>
      </c>
      <c r="B23" s="11">
        <f t="shared" si="4"/>
        <v>20543.895345768538</v>
      </c>
      <c r="C23" s="3">
        <v>3976.1271389513399</v>
      </c>
      <c r="D23" s="3">
        <v>16567.7682068172</v>
      </c>
      <c r="E23" s="6">
        <f t="shared" si="5"/>
        <v>12256.01967676893</v>
      </c>
      <c r="F23" s="35">
        <f t="shared" si="6"/>
        <v>14.933109313512807</v>
      </c>
      <c r="G23" s="34">
        <v>14.59</v>
      </c>
      <c r="H23" s="10"/>
      <c r="J23" s="32">
        <f>J22+2*'Main minimal'!C$14</f>
        <v>11430.126545289375</v>
      </c>
      <c r="K23" s="23">
        <f t="shared" si="1"/>
        <v>0.26128870382197422</v>
      </c>
      <c r="L23" s="23">
        <f t="shared" si="3"/>
        <v>6.3909968213968771E-2</v>
      </c>
    </row>
    <row r="24" spans="1:12" ht="16.3" thickBot="1" x14ac:dyDescent="0.5">
      <c r="A24">
        <v>2022</v>
      </c>
      <c r="B24" s="11">
        <f t="shared" si="4"/>
        <v>21280.124774360993</v>
      </c>
      <c r="C24" s="3">
        <v>4344.2748413929903</v>
      </c>
      <c r="D24" s="3">
        <v>16935.849932968002</v>
      </c>
      <c r="E24" s="6">
        <f t="shared" si="5"/>
        <v>12992.24910536147</v>
      </c>
      <c r="F24" s="35">
        <f t="shared" si="6"/>
        <v>14.933109313512654</v>
      </c>
      <c r="G24" s="33">
        <v>14.61</v>
      </c>
      <c r="H24" s="21" t="s">
        <v>5</v>
      </c>
      <c r="J24" s="32">
        <f>J23+2*'Main minimal'!C$14</f>
        <v>11799.736401552211</v>
      </c>
      <c r="K24" s="23">
        <f>B24/B23-1</f>
        <v>3.5836895398909663E-2</v>
      </c>
      <c r="L24" s="23">
        <f t="shared" si="3"/>
        <v>6.007084257444939E-2</v>
      </c>
    </row>
    <row r="25" spans="1:12" ht="16.3" thickBot="1" x14ac:dyDescent="0.5">
      <c r="B25" s="7" t="s">
        <v>6</v>
      </c>
      <c r="C25" s="8">
        <f>(C15-C11)/4</f>
        <v>368.11471429627005</v>
      </c>
      <c r="E25" s="5" t="s">
        <v>7</v>
      </c>
      <c r="F25" s="28">
        <f>SUM(F16:F24)*555</f>
        <v>33081.963201064114</v>
      </c>
      <c r="G25" s="36">
        <f>SUM(G16:G24)*555</f>
        <v>31845.899999999998</v>
      </c>
      <c r="H25" s="10">
        <f>F25/G25-1</f>
        <v>3.881388816344078E-2</v>
      </c>
      <c r="J25" s="7" t="s">
        <v>20</v>
      </c>
      <c r="K25" s="27">
        <f>AVERAGE(K12:K15)</f>
        <v>0.16427702609885642</v>
      </c>
      <c r="L25" s="23"/>
    </row>
    <row r="26" spans="1:12" x14ac:dyDescent="0.45">
      <c r="J26" s="7" t="s">
        <v>21</v>
      </c>
      <c r="K26" s="27">
        <f>AVERAGE(L16:L24)</f>
        <v>8.2632027841132397E-2</v>
      </c>
    </row>
    <row r="27" spans="1:12" x14ac:dyDescent="0.45">
      <c r="A27" s="15"/>
      <c r="B27" t="s">
        <v>15</v>
      </c>
      <c r="J27" s="7" t="s">
        <v>19</v>
      </c>
      <c r="K27" s="27">
        <f>(B15/B11)^(1/4)-1</f>
        <v>0.1565092675942239</v>
      </c>
    </row>
    <row r="28" spans="1:12" x14ac:dyDescent="0.45">
      <c r="A28" s="16"/>
      <c r="B28" t="s">
        <v>8</v>
      </c>
      <c r="J28" s="7" t="s">
        <v>18</v>
      </c>
      <c r="K28" s="27">
        <f>(E24/E15)^(1/9)-1</f>
        <v>8.2487257604549002E-2</v>
      </c>
    </row>
    <row r="29" spans="1:12" x14ac:dyDescent="0.45">
      <c r="A29" s="17"/>
      <c r="B29" t="s">
        <v>7</v>
      </c>
    </row>
    <row r="30" spans="1:12" x14ac:dyDescent="0.45">
      <c r="A30" s="20"/>
      <c r="B30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minimal</vt:lpstr>
      <vt:lpstr>Extension minimal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M</dc:creator>
  <cp:lastModifiedBy>Tim</cp:lastModifiedBy>
  <dcterms:created xsi:type="dcterms:W3CDTF">2023-06-08T10:25:19Z</dcterms:created>
  <dcterms:modified xsi:type="dcterms:W3CDTF">2023-08-25T05:19:08Z</dcterms:modified>
</cp:coreProperties>
</file>